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322861\OneDrive - Archer Daniels Midland Company\Documents\"/>
    </mc:Choice>
  </mc:AlternateContent>
  <xr:revisionPtr revIDLastSave="0" documentId="8_{9EB2BB81-78D4-4A3D-8583-690E43A0E3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Field" sheetId="2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H21" i="2"/>
  <c r="J21" i="2" s="1"/>
  <c r="O21" i="2"/>
  <c r="K21" i="2"/>
  <c r="L21" i="2" s="1"/>
  <c r="E21" i="2"/>
  <c r="I21" i="2"/>
  <c r="F21" i="2"/>
  <c r="D19" i="2"/>
  <c r="D18" i="2"/>
  <c r="H19" i="2"/>
  <c r="H18" i="2"/>
  <c r="K19" i="2"/>
  <c r="K18" i="2"/>
  <c r="O19" i="2"/>
  <c r="P18" i="2" s="1"/>
  <c r="O18" i="2"/>
  <c r="E19" i="2"/>
  <c r="E18" i="2"/>
  <c r="M19" i="2"/>
  <c r="M18" i="2"/>
  <c r="N18" i="2" s="1"/>
  <c r="I19" i="2"/>
  <c r="I18" i="2"/>
  <c r="F19" i="2"/>
  <c r="F18" i="2"/>
  <c r="D16" i="2"/>
  <c r="K16" i="2"/>
  <c r="H16" i="2"/>
  <c r="O16" i="2"/>
  <c r="H15" i="2"/>
  <c r="O15" i="2"/>
  <c r="D15" i="2"/>
  <c r="K15" i="2"/>
  <c r="H14" i="2"/>
  <c r="J14" i="2" s="1"/>
  <c r="O14" i="2"/>
  <c r="K14" i="2"/>
  <c r="D14" i="2"/>
  <c r="H13" i="2"/>
  <c r="J13" i="2" s="1"/>
  <c r="K13" i="2"/>
  <c r="O13" i="2"/>
  <c r="D13" i="2"/>
  <c r="G13" i="2" s="1"/>
  <c r="M16" i="2"/>
  <c r="M15" i="2"/>
  <c r="M14" i="2"/>
  <c r="M13" i="2"/>
  <c r="N14" i="2"/>
  <c r="E16" i="2"/>
  <c r="E15" i="2"/>
  <c r="G15" i="2" s="1"/>
  <c r="E14" i="2"/>
  <c r="E13" i="2"/>
  <c r="F16" i="2"/>
  <c r="F15" i="2"/>
  <c r="F14" i="2"/>
  <c r="F13" i="2"/>
  <c r="I16" i="2"/>
  <c r="I13" i="2"/>
  <c r="I14" i="2"/>
  <c r="I15" i="2"/>
  <c r="P5" i="2"/>
  <c r="I11" i="2"/>
  <c r="E11" i="2"/>
  <c r="F11" i="2"/>
  <c r="K11" i="2"/>
  <c r="O11" i="2"/>
  <c r="H11" i="2"/>
  <c r="D11" i="2"/>
  <c r="H10" i="2"/>
  <c r="K10" i="2"/>
  <c r="D10" i="2"/>
  <c r="G10" i="2"/>
  <c r="O10" i="2"/>
  <c r="M10" i="2"/>
  <c r="E10" i="2"/>
  <c r="I10" i="2"/>
  <c r="J10" i="2" s="1"/>
  <c r="F10" i="2"/>
  <c r="H9" i="2"/>
  <c r="K9" i="2"/>
  <c r="D9" i="2"/>
  <c r="O9" i="2"/>
  <c r="E9" i="2"/>
  <c r="M9" i="2"/>
  <c r="I9" i="2"/>
  <c r="F9" i="2"/>
  <c r="E8" i="2"/>
  <c r="M8" i="2"/>
  <c r="D8" i="2"/>
  <c r="O8" i="2"/>
  <c r="D6" i="2"/>
  <c r="O6" i="2"/>
  <c r="D5" i="2"/>
  <c r="G5" i="2" s="1"/>
  <c r="O5" i="2"/>
  <c r="N11" i="2"/>
  <c r="N6" i="2"/>
  <c r="F5" i="2"/>
  <c r="M5" i="2"/>
  <c r="N5" i="2" s="1"/>
  <c r="I5" i="2"/>
  <c r="E5" i="2"/>
  <c r="H8" i="2"/>
  <c r="K8" i="2"/>
  <c r="L8" i="2" s="1"/>
  <c r="H6" i="2"/>
  <c r="K6" i="2"/>
  <c r="L6" i="2" s="1"/>
  <c r="H5" i="2"/>
  <c r="K5" i="2"/>
  <c r="L5" i="2"/>
  <c r="F8" i="2"/>
  <c r="I8" i="2"/>
  <c r="J8" i="2" s="1"/>
  <c r="I6" i="2"/>
  <c r="M6" i="2"/>
  <c r="F6" i="2"/>
  <c r="N21" i="2"/>
  <c r="N19" i="2"/>
  <c r="N15" i="2"/>
  <c r="N13" i="2"/>
  <c r="N16" i="2"/>
  <c r="J19" i="2"/>
  <c r="L14" i="2"/>
  <c r="N8" i="2"/>
  <c r="J15" i="2"/>
  <c r="J11" i="2"/>
  <c r="J9" i="2"/>
  <c r="J6" i="2"/>
  <c r="J5" i="2"/>
  <c r="G6" i="2"/>
  <c r="L11" i="2"/>
  <c r="G11" i="2"/>
  <c r="L10" i="2"/>
  <c r="L9" i="2"/>
  <c r="G8" i="2"/>
  <c r="P6" i="2"/>
  <c r="J18" i="2" l="1"/>
  <c r="J16" i="2"/>
  <c r="P10" i="2"/>
  <c r="P9" i="2"/>
  <c r="P8" i="2"/>
  <c r="G9" i="2"/>
  <c r="Q9" i="2" s="1"/>
  <c r="Q15" i="2"/>
  <c r="Q11" i="2"/>
  <c r="Q10" i="2"/>
  <c r="G19" i="2"/>
  <c r="Q19" i="2" s="1"/>
  <c r="P16" i="2"/>
  <c r="Q13" i="2"/>
  <c r="Q5" i="2"/>
  <c r="Q6" i="2"/>
  <c r="G21" i="2"/>
  <c r="Q21" i="2" s="1"/>
  <c r="R21" i="2" s="1"/>
  <c r="L15" i="2"/>
  <c r="Q8" i="2"/>
  <c r="G18" i="2"/>
  <c r="Q18" i="2" s="1"/>
  <c r="L16" i="2"/>
  <c r="P11" i="2"/>
  <c r="P15" i="2"/>
  <c r="P13" i="2"/>
  <c r="P14" i="2"/>
  <c r="P19" i="2"/>
  <c r="G14" i="2"/>
  <c r="Q14" i="2" s="1"/>
  <c r="G16" i="2"/>
  <c r="Q16" i="2" s="1"/>
  <c r="N9" i="2"/>
  <c r="L18" i="2"/>
  <c r="N10" i="2"/>
  <c r="L19" i="2"/>
  <c r="L13" i="2"/>
  <c r="P21" i="2"/>
  <c r="R5" i="2" l="1"/>
  <c r="R16" i="2"/>
  <c r="R13" i="2"/>
  <c r="R15" i="2"/>
  <c r="R14" i="2"/>
  <c r="R8" i="2"/>
  <c r="R18" i="2"/>
  <c r="R19" i="2"/>
  <c r="R11" i="2"/>
  <c r="R9" i="2"/>
  <c r="R10" i="2"/>
  <c r="R6" i="2"/>
</calcChain>
</file>

<file path=xl/sharedStrings.xml><?xml version="1.0" encoding="utf-8"?>
<sst xmlns="http://schemas.openxmlformats.org/spreadsheetml/2006/main" count="56" uniqueCount="39">
  <si>
    <t>Enter avg.</t>
  </si>
  <si>
    <t>Enter total</t>
  </si>
  <si>
    <t>band</t>
  </si>
  <si>
    <t>class</t>
  </si>
  <si>
    <t>Music Ind</t>
  </si>
  <si>
    <t>Music Ens</t>
  </si>
  <si>
    <t>Music GE</t>
  </si>
  <si>
    <t>Music Tot</t>
  </si>
  <si>
    <t>Visual Ind</t>
  </si>
  <si>
    <t>Percussion</t>
  </si>
  <si>
    <t>Rank</t>
  </si>
  <si>
    <t>Auxilliary</t>
  </si>
  <si>
    <t>Drum Major</t>
  </si>
  <si>
    <t>Total</t>
  </si>
  <si>
    <t>Place</t>
  </si>
  <si>
    <t>Okaw Valley</t>
  </si>
  <si>
    <t>Auburn</t>
  </si>
  <si>
    <t>Jacksonville</t>
  </si>
  <si>
    <t>Exh.</t>
  </si>
  <si>
    <t>Visual Ensemble</t>
  </si>
  <si>
    <t>Visual Tot</t>
  </si>
  <si>
    <t>Arcola</t>
  </si>
  <si>
    <t>1A</t>
  </si>
  <si>
    <t>2A</t>
  </si>
  <si>
    <t>Taylorville</t>
  </si>
  <si>
    <t>3A</t>
  </si>
  <si>
    <t>4A</t>
  </si>
  <si>
    <t>Mt. Zion</t>
  </si>
  <si>
    <t>Maroa-Forsyth</t>
  </si>
  <si>
    <t>Hoopeston</t>
  </si>
  <si>
    <t>MacArthur</t>
  </si>
  <si>
    <t>MT ZION 2022 MARCHING MUSIC GAMES FIELD SHOW TABULATION SHEET</t>
  </si>
  <si>
    <t>Time</t>
  </si>
  <si>
    <t>No</t>
  </si>
  <si>
    <t>Champaign Centennial</t>
  </si>
  <si>
    <t>Lincoln</t>
  </si>
  <si>
    <t>Salem</t>
  </si>
  <si>
    <t>Mahomet-Symour</t>
  </si>
  <si>
    <t>Grand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</si>
</sst>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u/>
      <sz val="10"/>
      <color theme="1"/>
      <name val="Century"/>
      <family val="1"/>
    </font>
    <font>
      <i/>
      <u/>
      <sz val="10"/>
      <color theme="1"/>
      <name val="Century"/>
      <family val="1"/>
    </font>
    <font>
      <i/>
      <u/>
      <sz val="10"/>
      <color theme="1"/>
      <name val="Lustria"/>
    </font>
    <font>
      <i/>
      <u/>
      <sz val="10"/>
      <color theme="1"/>
      <name val="Lustria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scheme val="minor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11"/>
  </cellStyleXfs>
  <cellXfs count="38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3" fillId="2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7" fillId="0" borderId="6" xfId="0" applyFont="1" applyBorder="1"/>
    <xf numFmtId="0" fontId="8" fillId="0" borderId="4" xfId="0" applyFont="1" applyBorder="1"/>
    <xf numFmtId="0" fontId="8" fillId="0" borderId="0" xfId="0" applyFont="1"/>
    <xf numFmtId="2" fontId="8" fillId="0" borderId="0" xfId="0" applyNumberFormat="1" applyFont="1"/>
    <xf numFmtId="2" fontId="2" fillId="0" borderId="0" xfId="0" applyNumberFormat="1" applyFont="1"/>
    <xf numFmtId="2" fontId="2" fillId="0" borderId="6" xfId="0" applyNumberFormat="1" applyFont="1" applyBorder="1"/>
    <xf numFmtId="1" fontId="2" fillId="4" borderId="5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2" fontId="2" fillId="5" borderId="5" xfId="0" applyNumberFormat="1" applyFont="1" applyFill="1" applyBorder="1"/>
    <xf numFmtId="1" fontId="2" fillId="5" borderId="5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2" fontId="2" fillId="0" borderId="0" xfId="0" applyNumberFormat="1" applyFont="1" applyAlignment="1"/>
    <xf numFmtId="0" fontId="9" fillId="0" borderId="0" xfId="0" applyFont="1" applyAlignment="1"/>
    <xf numFmtId="18" fontId="0" fillId="0" borderId="0" xfId="0" applyNumberFormat="1" applyFont="1" applyAlignment="1"/>
    <xf numFmtId="2" fontId="2" fillId="0" borderId="0" xfId="0" applyNumberFormat="1" applyFont="1" applyFill="1"/>
    <xf numFmtId="0" fontId="2" fillId="0" borderId="11" xfId="0" applyFont="1" applyFill="1" applyBorder="1" applyAlignment="1"/>
    <xf numFmtId="0" fontId="2" fillId="0" borderId="0" xfId="0" applyFont="1" applyAlignment="1"/>
    <xf numFmtId="2" fontId="2" fillId="0" borderId="0" xfId="0" applyNumberFormat="1" applyFont="1" applyFill="1" applyAlignment="1"/>
    <xf numFmtId="0" fontId="11" fillId="0" borderId="11" xfId="1" applyFont="1"/>
    <xf numFmtId="0" fontId="11" fillId="5" borderId="8" xfId="1" applyFont="1" applyFill="1" applyBorder="1"/>
    <xf numFmtId="0" fontId="11" fillId="5" borderId="11" xfId="1" applyFont="1" applyFill="1" applyBorder="1"/>
    <xf numFmtId="0" fontId="11" fillId="0" borderId="9" xfId="1" applyFont="1" applyBorder="1"/>
    <xf numFmtId="0" fontId="11" fillId="0" borderId="10" xfId="1" applyFont="1" applyBorder="1"/>
    <xf numFmtId="0" fontId="11" fillId="0" borderId="8" xfId="1" applyFont="1" applyBorder="1" applyAlignment="1"/>
    <xf numFmtId="0" fontId="11" fillId="0" borderId="11" xfId="1" applyFont="1" applyAlignment="1"/>
  </cellXfs>
  <cellStyles count="2">
    <cellStyle name="Normal" xfId="0" builtinId="0"/>
    <cellStyle name="Normal 2" xfId="1" xr:uid="{A5A7390C-D5EF-4205-92FF-E58576678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78"/>
  <sheetViews>
    <sheetView tabSelected="1" topLeftCell="A2" workbookViewId="0">
      <selection activeCell="A14" sqref="A14"/>
    </sheetView>
  </sheetViews>
  <sheetFormatPr defaultColWidth="12.5703125" defaultRowHeight="15" customHeight="1"/>
  <cols>
    <col min="1" max="1" width="12.5703125" customWidth="1"/>
    <col min="2" max="2" width="19.7109375" customWidth="1"/>
    <col min="3" max="3" width="7.5703125" customWidth="1"/>
    <col min="4" max="4" width="11.5703125" customWidth="1"/>
    <col min="5" max="5" width="12.140625" customWidth="1"/>
    <col min="6" max="6" width="13.28515625" customWidth="1"/>
    <col min="7" max="7" width="14.42578125" customWidth="1"/>
    <col min="8" max="8" width="12" customWidth="1"/>
    <col min="9" max="9" width="13.85546875" customWidth="1"/>
    <col min="10" max="10" width="7.85546875" customWidth="1"/>
    <col min="11" max="11" width="13.28515625" customWidth="1"/>
    <col min="12" max="12" width="5.42578125" customWidth="1"/>
    <col min="13" max="13" width="7.140625" customWidth="1"/>
    <col min="14" max="14" width="5.28515625" customWidth="1"/>
    <col min="15" max="15" width="11.85546875" customWidth="1"/>
    <col min="16" max="16" width="6.140625" customWidth="1"/>
    <col min="17" max="17" width="7.85546875" customWidth="1"/>
    <col min="18" max="18" width="5.28515625" customWidth="1"/>
    <col min="19" max="27" width="8.7109375" customWidth="1"/>
  </cols>
  <sheetData>
    <row r="1" spans="1:19" ht="12.75" customHeight="1">
      <c r="B1" s="1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9" ht="12.75" customHeight="1">
      <c r="B2" s="4"/>
      <c r="C2" s="5"/>
      <c r="D2" s="6" t="s">
        <v>0</v>
      </c>
      <c r="E2" s="6" t="s">
        <v>0</v>
      </c>
      <c r="F2" s="6" t="s">
        <v>0</v>
      </c>
      <c r="G2" s="5"/>
      <c r="H2" s="6" t="s">
        <v>0</v>
      </c>
      <c r="I2" s="6" t="s">
        <v>0</v>
      </c>
      <c r="J2" s="5"/>
      <c r="K2" s="7" t="s">
        <v>1</v>
      </c>
      <c r="L2" s="8"/>
      <c r="M2" s="7" t="s">
        <v>1</v>
      </c>
      <c r="N2" s="5"/>
      <c r="O2" s="7" t="s">
        <v>1</v>
      </c>
      <c r="P2" s="5"/>
      <c r="Q2" s="5"/>
      <c r="R2" s="9"/>
    </row>
    <row r="3" spans="1:19" ht="12.75" customHeight="1">
      <c r="A3" s="25" t="s">
        <v>32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19</v>
      </c>
      <c r="J3" s="12" t="s">
        <v>20</v>
      </c>
      <c r="K3" s="12" t="s">
        <v>9</v>
      </c>
      <c r="L3" s="12" t="s">
        <v>10</v>
      </c>
      <c r="M3" s="12" t="s">
        <v>11</v>
      </c>
      <c r="N3" s="12" t="s">
        <v>10</v>
      </c>
      <c r="O3" s="12" t="s">
        <v>12</v>
      </c>
      <c r="P3" s="12" t="s">
        <v>10</v>
      </c>
      <c r="Q3" s="12" t="s">
        <v>13</v>
      </c>
      <c r="R3" s="13" t="s">
        <v>14</v>
      </c>
    </row>
    <row r="4" spans="1:19" ht="12.75" customHeight="1">
      <c r="A4" s="26"/>
      <c r="B4" s="14"/>
      <c r="C4" s="15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7"/>
    </row>
    <row r="5" spans="1:19" ht="12.75" customHeight="1">
      <c r="A5" s="26">
        <v>0.63541666666666663</v>
      </c>
      <c r="B5" s="36" t="s">
        <v>15</v>
      </c>
      <c r="C5" s="31" t="s">
        <v>22</v>
      </c>
      <c r="D5" s="24">
        <f>58+60</f>
        <v>118</v>
      </c>
      <c r="E5" s="24">
        <f>64+62</f>
        <v>126</v>
      </c>
      <c r="F5" s="24">
        <f>62+58</f>
        <v>120</v>
      </c>
      <c r="G5" s="24">
        <f>SUM(D5:F5)</f>
        <v>364</v>
      </c>
      <c r="H5" s="17">
        <f>58+59</f>
        <v>117</v>
      </c>
      <c r="I5" s="17">
        <f>48+50</f>
        <v>98</v>
      </c>
      <c r="J5" s="17">
        <f>SUM(H5:I5)</f>
        <v>215</v>
      </c>
      <c r="K5" s="17">
        <f>63+63</f>
        <v>126</v>
      </c>
      <c r="L5" s="19">
        <f>RANK(K5,K$5:K$6,0)</f>
        <v>2</v>
      </c>
      <c r="M5" s="17">
        <f>46+63</f>
        <v>109</v>
      </c>
      <c r="N5" s="19">
        <f>RANK(M5,M$5:M$6,0)</f>
        <v>2</v>
      </c>
      <c r="O5" s="24">
        <f>10+14+34+14+16+12+14+38</f>
        <v>152</v>
      </c>
      <c r="P5" s="19">
        <f>RANK(O5,O$5:O$6,0)</f>
        <v>2</v>
      </c>
      <c r="Q5" s="17">
        <f>SUM(G5,J5)</f>
        <v>579</v>
      </c>
      <c r="R5" s="20">
        <f>RANK(Q5,Q$5:Q$6,0)</f>
        <v>1</v>
      </c>
      <c r="S5" s="17"/>
    </row>
    <row r="6" spans="1:19" ht="12.75" customHeight="1">
      <c r="A6" s="26">
        <v>0.64583333333333337</v>
      </c>
      <c r="B6" s="36" t="s">
        <v>21</v>
      </c>
      <c r="C6" s="31" t="s">
        <v>22</v>
      </c>
      <c r="D6" s="24">
        <f>62+64</f>
        <v>126</v>
      </c>
      <c r="E6" s="24">
        <v>120</v>
      </c>
      <c r="F6" s="17">
        <f>60+57</f>
        <v>117</v>
      </c>
      <c r="G6" s="24">
        <f>SUM(D6:F6)</f>
        <v>363</v>
      </c>
      <c r="H6" s="17">
        <f>50+52</f>
        <v>102</v>
      </c>
      <c r="I6" s="17">
        <f>48+54</f>
        <v>102</v>
      </c>
      <c r="J6" s="17">
        <f t="shared" ref="J6:J11" si="0">SUM(H6:I6)</f>
        <v>204</v>
      </c>
      <c r="K6" s="17">
        <f>64+64</f>
        <v>128</v>
      </c>
      <c r="L6" s="19">
        <f>RANK(K6,K$5:K$6,0)</f>
        <v>1</v>
      </c>
      <c r="M6" s="17">
        <f>50+65</f>
        <v>115</v>
      </c>
      <c r="N6" s="19">
        <f>RANK(M6,M$5:M$6,0)</f>
        <v>1</v>
      </c>
      <c r="O6" s="17">
        <f>10+15+35+17+17+12+14+39</f>
        <v>159</v>
      </c>
      <c r="P6" s="19">
        <f>RANK(O6,O$5:O$6,0)</f>
        <v>1</v>
      </c>
      <c r="Q6" s="17">
        <f>SUM(G6,J6)</f>
        <v>567</v>
      </c>
      <c r="R6" s="20">
        <f>RANK(Q6,Q$5:Q$6,0)</f>
        <v>2</v>
      </c>
      <c r="S6" s="17"/>
    </row>
    <row r="7" spans="1:19" ht="6.75" customHeight="1">
      <c r="B7" s="32"/>
      <c r="C7" s="33"/>
      <c r="D7" s="21"/>
      <c r="E7" s="21"/>
      <c r="F7" s="21"/>
      <c r="G7" s="21"/>
      <c r="H7" s="21"/>
      <c r="I7" s="21"/>
      <c r="J7" s="21"/>
      <c r="K7" s="21"/>
      <c r="L7" s="22"/>
      <c r="M7" s="21"/>
      <c r="N7" s="22"/>
      <c r="O7" s="21"/>
      <c r="P7" s="22"/>
      <c r="Q7" s="21"/>
      <c r="R7" s="23"/>
      <c r="S7" s="17"/>
    </row>
    <row r="8" spans="1:19" ht="12.75" customHeight="1">
      <c r="A8" s="26">
        <v>0.625</v>
      </c>
      <c r="B8" s="36" t="s">
        <v>29</v>
      </c>
      <c r="C8" s="31" t="s">
        <v>23</v>
      </c>
      <c r="D8" s="17">
        <f>65+63</f>
        <v>128</v>
      </c>
      <c r="E8" s="17">
        <f>62+60</f>
        <v>122</v>
      </c>
      <c r="F8" s="17">
        <f>65+62</f>
        <v>127</v>
      </c>
      <c r="G8" s="17">
        <f t="shared" ref="G8:G11" si="1">SUM(D8:F8)</f>
        <v>377</v>
      </c>
      <c r="H8" s="17">
        <f>68+69</f>
        <v>137</v>
      </c>
      <c r="I8" s="17">
        <f>58+66</f>
        <v>124</v>
      </c>
      <c r="J8" s="17">
        <f t="shared" si="0"/>
        <v>261</v>
      </c>
      <c r="K8" s="17">
        <f>65+65</f>
        <v>130</v>
      </c>
      <c r="L8" s="19">
        <f>RANK(K8,K$8:K$11,0)</f>
        <v>2</v>
      </c>
      <c r="M8" s="17">
        <f>51+64</f>
        <v>115</v>
      </c>
      <c r="N8" s="19">
        <f>RANK(M8,M$8:M$11,0)</f>
        <v>2</v>
      </c>
      <c r="O8" s="17">
        <f>10+12+32+10+10+10+10+35</f>
        <v>129</v>
      </c>
      <c r="P8" s="19">
        <f>RANK(O8,O$8:O$11,0)</f>
        <v>4</v>
      </c>
      <c r="Q8" s="17">
        <f t="shared" ref="Q8:Q11" si="2">SUM(G8,J8)</f>
        <v>638</v>
      </c>
      <c r="R8" s="20">
        <f>RANK(Q8,Q$8:Q$11,0)</f>
        <v>4</v>
      </c>
      <c r="S8" s="17"/>
    </row>
    <row r="9" spans="1:19" ht="12.75" customHeight="1">
      <c r="A9" s="26">
        <v>0.65625</v>
      </c>
      <c r="B9" s="36" t="s">
        <v>35</v>
      </c>
      <c r="C9" s="31" t="s">
        <v>23</v>
      </c>
      <c r="D9" s="17">
        <f>74+78</f>
        <v>152</v>
      </c>
      <c r="E9" s="17">
        <f>64+70</f>
        <v>134</v>
      </c>
      <c r="F9" s="17">
        <f>67+63</f>
        <v>130</v>
      </c>
      <c r="G9" s="17">
        <f t="shared" si="1"/>
        <v>416</v>
      </c>
      <c r="H9" s="17">
        <f>75+75</f>
        <v>150</v>
      </c>
      <c r="I9" s="17">
        <f>60+68</f>
        <v>128</v>
      </c>
      <c r="J9" s="17">
        <f t="shared" si="0"/>
        <v>278</v>
      </c>
      <c r="K9" s="17">
        <f>66+67</f>
        <v>133</v>
      </c>
      <c r="L9" s="19">
        <f>RANK(K9,K$8:K$11,0)</f>
        <v>1</v>
      </c>
      <c r="M9" s="17">
        <f>58+60</f>
        <v>118</v>
      </c>
      <c r="N9" s="19">
        <f>RANK(M9,M$8:M$11,0)</f>
        <v>1</v>
      </c>
      <c r="O9" s="17">
        <f>10+13+33+11+11+10+10+36</f>
        <v>134</v>
      </c>
      <c r="P9" s="19">
        <f>RANK(O9,O$8:O$11,0)</f>
        <v>3</v>
      </c>
      <c r="Q9" s="17">
        <f t="shared" si="2"/>
        <v>694</v>
      </c>
      <c r="R9" s="20">
        <f>RANK(Q9,Q$8:Q$11,0)</f>
        <v>1</v>
      </c>
      <c r="S9" s="17"/>
    </row>
    <row r="10" spans="1:19" ht="12.75" customHeight="1">
      <c r="A10" s="26">
        <v>0.66666666666666663</v>
      </c>
      <c r="B10" s="36" t="s">
        <v>28</v>
      </c>
      <c r="C10" s="31" t="s">
        <v>23</v>
      </c>
      <c r="D10" s="17">
        <f>72+77</f>
        <v>149</v>
      </c>
      <c r="E10" s="17">
        <f>70+75</f>
        <v>145</v>
      </c>
      <c r="F10" s="17">
        <f>62+60</f>
        <v>122</v>
      </c>
      <c r="G10" s="17">
        <f t="shared" si="1"/>
        <v>416</v>
      </c>
      <c r="H10" s="17">
        <f>70+71</f>
        <v>141</v>
      </c>
      <c r="I10" s="17">
        <f>58+66</f>
        <v>124</v>
      </c>
      <c r="J10" s="17">
        <f t="shared" si="0"/>
        <v>265</v>
      </c>
      <c r="K10" s="17">
        <f>64+63</f>
        <v>127</v>
      </c>
      <c r="L10" s="19">
        <f>RANK(K10,K$8:K$11,0)</f>
        <v>4</v>
      </c>
      <c r="M10" s="17">
        <f>62+45</f>
        <v>107</v>
      </c>
      <c r="N10" s="19">
        <f>RANK(M10,M$8:M$11,0)</f>
        <v>3</v>
      </c>
      <c r="O10" s="27">
        <f>10+13+34+11+12+12+10+37</f>
        <v>139</v>
      </c>
      <c r="P10" s="19">
        <f>RANK(O10,O$8:O$11,0)</f>
        <v>2</v>
      </c>
      <c r="Q10" s="17">
        <f t="shared" si="2"/>
        <v>681</v>
      </c>
      <c r="R10" s="20">
        <f>RANK(Q10,Q$8:Q$11,0)</f>
        <v>2</v>
      </c>
      <c r="S10" s="17"/>
    </row>
    <row r="11" spans="1:19" ht="12.75" customHeight="1">
      <c r="A11" s="26">
        <v>0.67708333333333337</v>
      </c>
      <c r="B11" s="36" t="s">
        <v>24</v>
      </c>
      <c r="C11" s="31" t="s">
        <v>23</v>
      </c>
      <c r="D11" s="17">
        <f>75+77</f>
        <v>152</v>
      </c>
      <c r="E11" s="17">
        <f>72+74</f>
        <v>146</v>
      </c>
      <c r="F11" s="17">
        <f>63+61</f>
        <v>124</v>
      </c>
      <c r="G11" s="17">
        <f t="shared" si="1"/>
        <v>422</v>
      </c>
      <c r="H11" s="17">
        <f>69+70</f>
        <v>139</v>
      </c>
      <c r="I11" s="17">
        <f>54+60</f>
        <v>114</v>
      </c>
      <c r="J11" s="17">
        <f t="shared" si="0"/>
        <v>253</v>
      </c>
      <c r="K11" s="17">
        <f>65+65</f>
        <v>130</v>
      </c>
      <c r="L11" s="19">
        <f>RANK(K11,K$8:K$11,0)</f>
        <v>2</v>
      </c>
      <c r="M11" s="17" t="s">
        <v>33</v>
      </c>
      <c r="N11" s="19" t="e">
        <f>RANK(M11,M$8:M$11,0)</f>
        <v>#VALUE!</v>
      </c>
      <c r="O11" s="17">
        <f>10+14+37+12+12+12+14+37</f>
        <v>148</v>
      </c>
      <c r="P11" s="19">
        <f>RANK(O11,O$8:O$11,0)</f>
        <v>1</v>
      </c>
      <c r="Q11" s="17">
        <f t="shared" si="2"/>
        <v>675</v>
      </c>
      <c r="R11" s="20">
        <f>RANK(Q11,Q$8:Q$11,0)</f>
        <v>3</v>
      </c>
      <c r="S11" s="17"/>
    </row>
    <row r="12" spans="1:19" ht="6.75" customHeight="1">
      <c r="B12" s="32"/>
      <c r="C12" s="33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22"/>
      <c r="O12" s="21"/>
      <c r="P12" s="22"/>
      <c r="Q12" s="21"/>
      <c r="R12" s="23"/>
      <c r="S12" s="17"/>
    </row>
    <row r="13" spans="1:19" ht="12.75" customHeight="1">
      <c r="A13" s="26">
        <v>0.6875</v>
      </c>
      <c r="B13" s="36" t="s">
        <v>17</v>
      </c>
      <c r="C13" s="31" t="s">
        <v>25</v>
      </c>
      <c r="D13" s="17">
        <f>74+76</f>
        <v>150</v>
      </c>
      <c r="E13" s="17">
        <f>80+80</f>
        <v>160</v>
      </c>
      <c r="F13" s="17">
        <f>66+63</f>
        <v>129</v>
      </c>
      <c r="G13" s="17">
        <f>SUM(D13:F13)</f>
        <v>439</v>
      </c>
      <c r="H13" s="17">
        <f>73+74</f>
        <v>147</v>
      </c>
      <c r="I13" s="17">
        <f>54+66</f>
        <v>120</v>
      </c>
      <c r="J13" s="17">
        <f>SUM(H13:I13)</f>
        <v>267</v>
      </c>
      <c r="K13" s="17">
        <f>67+69</f>
        <v>136</v>
      </c>
      <c r="L13" s="19">
        <f>RANK(K13,K$13:K$16,0)</f>
        <v>2</v>
      </c>
      <c r="M13" s="17">
        <f>64+68</f>
        <v>132</v>
      </c>
      <c r="N13" s="19">
        <f>RANK(M13,M$13:M$16,0)</f>
        <v>2</v>
      </c>
      <c r="O13" s="17">
        <f>10+14+38+15+14+12+13+36</f>
        <v>152</v>
      </c>
      <c r="P13" s="19">
        <f>RANK(O13,O$13:O$16,0)</f>
        <v>2</v>
      </c>
      <c r="Q13" s="17">
        <f>SUM(G13,J13)</f>
        <v>706</v>
      </c>
      <c r="R13" s="20">
        <f>RANK(Q13,Q$13:Q$16,0)</f>
        <v>3</v>
      </c>
      <c r="S13" s="17"/>
    </row>
    <row r="14" spans="1:19" ht="12.75" customHeight="1">
      <c r="A14" s="26">
        <v>0.69791666666666663</v>
      </c>
      <c r="B14" s="36" t="s">
        <v>36</v>
      </c>
      <c r="C14" s="31" t="s">
        <v>25</v>
      </c>
      <c r="D14" s="17">
        <f>77+79</f>
        <v>156</v>
      </c>
      <c r="E14" s="17">
        <f>81+83</f>
        <v>164</v>
      </c>
      <c r="F14" s="17">
        <f>70+68</f>
        <v>138</v>
      </c>
      <c r="G14" s="17">
        <f>SUM(D14:F14)</f>
        <v>458</v>
      </c>
      <c r="H14" s="17">
        <f>77+78</f>
        <v>155</v>
      </c>
      <c r="I14" s="17">
        <f>69+76</f>
        <v>145</v>
      </c>
      <c r="J14" s="17">
        <f t="shared" ref="J14:J16" si="3">SUM(H14:I14)</f>
        <v>300</v>
      </c>
      <c r="K14" s="17">
        <f>72+73</f>
        <v>145</v>
      </c>
      <c r="L14" s="19">
        <f t="shared" ref="L14:L16" si="4">RANK(K14,K$13:K$16,0)</f>
        <v>1</v>
      </c>
      <c r="M14" s="17">
        <f>68+66</f>
        <v>134</v>
      </c>
      <c r="N14" s="19">
        <f>RANK(M14,M$13:M$16,0)</f>
        <v>1</v>
      </c>
      <c r="O14" s="17">
        <f>10+16+38+18+16+16+17+40</f>
        <v>171</v>
      </c>
      <c r="P14" s="19">
        <f t="shared" ref="P14:P15" si="5">RANK(O14,O$13:O$16,0)</f>
        <v>1</v>
      </c>
      <c r="Q14" s="17">
        <f>SUM(G14,J14)</f>
        <v>758</v>
      </c>
      <c r="R14" s="20">
        <f t="shared" ref="R14:R15" si="6">RANK(Q14,Q$13:Q$16,0)</f>
        <v>1</v>
      </c>
      <c r="S14" s="17"/>
    </row>
    <row r="15" spans="1:19" ht="12.75" customHeight="1">
      <c r="A15" s="26">
        <v>0.70833333333333337</v>
      </c>
      <c r="B15" s="36" t="s">
        <v>16</v>
      </c>
      <c r="C15" s="31" t="s">
        <v>25</v>
      </c>
      <c r="D15" s="17">
        <f>75+77</f>
        <v>152</v>
      </c>
      <c r="E15" s="17">
        <f>74+78</f>
        <v>152</v>
      </c>
      <c r="F15" s="17">
        <f>63+62</f>
        <v>125</v>
      </c>
      <c r="G15" s="17">
        <f>SUM(D15:F15)</f>
        <v>429</v>
      </c>
      <c r="H15" s="17">
        <f>72+71</f>
        <v>143</v>
      </c>
      <c r="I15" s="17">
        <f>47+57</f>
        <v>104</v>
      </c>
      <c r="J15" s="17">
        <f t="shared" si="3"/>
        <v>247</v>
      </c>
      <c r="K15" s="17">
        <f>62+62</f>
        <v>124</v>
      </c>
      <c r="L15" s="19">
        <f t="shared" si="4"/>
        <v>4</v>
      </c>
      <c r="M15" s="17">
        <f>51+54</f>
        <v>105</v>
      </c>
      <c r="N15" s="19">
        <f>RANK(M15,M$13:M$16,0)</f>
        <v>3</v>
      </c>
      <c r="O15" s="17">
        <f>12+14+34+14+14+11+14+34</f>
        <v>147</v>
      </c>
      <c r="P15" s="19">
        <f t="shared" si="5"/>
        <v>3</v>
      </c>
      <c r="Q15" s="17">
        <f>SUM(G15,J15)</f>
        <v>676</v>
      </c>
      <c r="R15" s="20">
        <f t="shared" si="6"/>
        <v>4</v>
      </c>
      <c r="S15" s="17"/>
    </row>
    <row r="16" spans="1:19" ht="12.75" customHeight="1">
      <c r="A16" s="26">
        <v>0.71875</v>
      </c>
      <c r="B16" s="36" t="s">
        <v>30</v>
      </c>
      <c r="C16" s="31" t="s">
        <v>25</v>
      </c>
      <c r="D16" s="17">
        <f>73+72</f>
        <v>145</v>
      </c>
      <c r="E16" s="17">
        <f>85+84</f>
        <v>169</v>
      </c>
      <c r="F16" s="17">
        <f>67+64</f>
        <v>131</v>
      </c>
      <c r="G16" s="17">
        <f>SUM(D16:F16)</f>
        <v>445</v>
      </c>
      <c r="H16" s="17">
        <f>73+72</f>
        <v>145</v>
      </c>
      <c r="I16" s="17">
        <f>58+66</f>
        <v>124</v>
      </c>
      <c r="J16" s="17">
        <f t="shared" si="3"/>
        <v>269</v>
      </c>
      <c r="K16" s="17">
        <f>65+66</f>
        <v>131</v>
      </c>
      <c r="L16" s="19">
        <f t="shared" si="4"/>
        <v>3</v>
      </c>
      <c r="M16" s="17">
        <f>48+50</f>
        <v>98</v>
      </c>
      <c r="N16" s="19">
        <f t="shared" ref="N16" si="7">RANK(M16,M$13:M$16,0)</f>
        <v>4</v>
      </c>
      <c r="O16" s="17">
        <f>10+11+12+11+11+11+10+32</f>
        <v>108</v>
      </c>
      <c r="P16" s="19">
        <f>RANK(O16,O$13:O$16,0)</f>
        <v>4</v>
      </c>
      <c r="Q16" s="17">
        <f>SUM(G16,J16)</f>
        <v>714</v>
      </c>
      <c r="R16" s="20">
        <f>RANK(Q16,Q$13:Q$16,0)</f>
        <v>2</v>
      </c>
      <c r="S16" s="17"/>
    </row>
    <row r="17" spans="1:20" ht="6.75" customHeight="1">
      <c r="B17" s="32"/>
      <c r="C17" s="33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2"/>
      <c r="O17" s="21"/>
      <c r="P17" s="22"/>
      <c r="Q17" s="21"/>
      <c r="R17" s="23"/>
      <c r="S17" s="17"/>
    </row>
    <row r="18" spans="1:20" ht="12.75" customHeight="1">
      <c r="A18" s="26">
        <v>0.72916666666666663</v>
      </c>
      <c r="B18" s="36" t="s">
        <v>34</v>
      </c>
      <c r="C18" s="37" t="s">
        <v>26</v>
      </c>
      <c r="D18" s="17">
        <f>80+80</f>
        <v>160</v>
      </c>
      <c r="E18" s="17">
        <f>91+90</f>
        <v>181</v>
      </c>
      <c r="F18" s="17">
        <f>70+68</f>
        <v>138</v>
      </c>
      <c r="G18" s="17">
        <f>SUM(D18:F18)</f>
        <v>479</v>
      </c>
      <c r="H18" s="27">
        <f>83+83</f>
        <v>166</v>
      </c>
      <c r="I18" s="17">
        <f>72+70</f>
        <v>142</v>
      </c>
      <c r="J18" s="17">
        <f>SUM(H18:I18)</f>
        <v>308</v>
      </c>
      <c r="K18" s="17">
        <f>71+70.5</f>
        <v>141.5</v>
      </c>
      <c r="L18" s="19">
        <f>RANK(K18,K$18:K$19,0)</f>
        <v>2</v>
      </c>
      <c r="M18" s="17">
        <f>70+69</f>
        <v>139</v>
      </c>
      <c r="N18" s="19">
        <f>RANK(M18,M$18:M$19,0)</f>
        <v>2</v>
      </c>
      <c r="O18" s="17">
        <f>10+14+36+14+16+15+16+36</f>
        <v>157</v>
      </c>
      <c r="P18" s="19">
        <f>RANK(O18,O$18:O$19,0)</f>
        <v>2</v>
      </c>
      <c r="Q18" s="17">
        <f>SUM(G18,J18)</f>
        <v>787</v>
      </c>
      <c r="R18" s="20">
        <f>RANK(Q18,Q$18:Q$19,0)</f>
        <v>2</v>
      </c>
      <c r="S18" s="17"/>
    </row>
    <row r="19" spans="1:20" ht="12.75" customHeight="1">
      <c r="A19" s="26">
        <v>0.73958333333333337</v>
      </c>
      <c r="B19" s="36" t="s">
        <v>37</v>
      </c>
      <c r="C19" s="37" t="s">
        <v>26</v>
      </c>
      <c r="D19" s="17">
        <f>90+95</f>
        <v>185</v>
      </c>
      <c r="E19" s="17">
        <f>96+98</f>
        <v>194</v>
      </c>
      <c r="F19" s="17">
        <f>72+72</f>
        <v>144</v>
      </c>
      <c r="G19" s="17">
        <f>SUM(D19:F19)</f>
        <v>523</v>
      </c>
      <c r="H19" s="17">
        <f>87+88</f>
        <v>175</v>
      </c>
      <c r="I19" s="17">
        <f>87+83</f>
        <v>170</v>
      </c>
      <c r="J19" s="17">
        <f t="shared" ref="J19" si="8">SUM(H19:I19)</f>
        <v>345</v>
      </c>
      <c r="K19" s="17">
        <f>80+80</f>
        <v>160</v>
      </c>
      <c r="L19" s="19">
        <f>RANK(K19,K$18:K$19,0)</f>
        <v>1</v>
      </c>
      <c r="M19" s="17">
        <f>85+78</f>
        <v>163</v>
      </c>
      <c r="N19" s="19">
        <f>RANK(M19,M$18:M$19,0)</f>
        <v>1</v>
      </c>
      <c r="O19" s="17">
        <f>10+18+37+18+18+18+17+38</f>
        <v>174</v>
      </c>
      <c r="P19" s="19">
        <f>RANK(O19,O$18:O$19,0)</f>
        <v>1</v>
      </c>
      <c r="Q19" s="17">
        <f>SUM(G19,J19)</f>
        <v>868</v>
      </c>
      <c r="R19" s="20">
        <f>RANK(Q19,Q$18:Q$19,0)</f>
        <v>1</v>
      </c>
      <c r="S19" s="17" t="s">
        <v>38</v>
      </c>
    </row>
    <row r="20" spans="1:20" ht="6.75" customHeight="1">
      <c r="B20" s="32"/>
      <c r="C20" s="33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2"/>
      <c r="O20" s="21"/>
      <c r="P20" s="22"/>
      <c r="Q20" s="21"/>
      <c r="R20" s="23"/>
      <c r="S20" s="17"/>
    </row>
    <row r="21" spans="1:20" ht="12.75" customHeight="1" thickBot="1">
      <c r="A21" s="26">
        <v>0.75</v>
      </c>
      <c r="B21" s="34" t="s">
        <v>27</v>
      </c>
      <c r="C21" s="35" t="s">
        <v>18</v>
      </c>
      <c r="D21" s="30">
        <f>78+79</f>
        <v>157</v>
      </c>
      <c r="E21" s="24">
        <f>85+87</f>
        <v>172</v>
      </c>
      <c r="F21" s="17">
        <f>68+68</f>
        <v>136</v>
      </c>
      <c r="G21" s="17">
        <f>SUM(D21:F21)</f>
        <v>465</v>
      </c>
      <c r="H21" s="17">
        <f>75+76</f>
        <v>151</v>
      </c>
      <c r="I21" s="17">
        <f>65+69</f>
        <v>134</v>
      </c>
      <c r="J21" s="17">
        <f>SUM(H21:I21)</f>
        <v>285</v>
      </c>
      <c r="K21" s="17">
        <f>72+72</f>
        <v>144</v>
      </c>
      <c r="L21" s="19">
        <f>RANK(K21,K$21:K$21,0)</f>
        <v>1</v>
      </c>
      <c r="M21" s="17" t="s">
        <v>33</v>
      </c>
      <c r="N21" s="19" t="e">
        <f>RANK(M21,M$21:M$21,0)</f>
        <v>#VALUE!</v>
      </c>
      <c r="O21" s="17">
        <f>10+15+36+16+17+15+15+35</f>
        <v>159</v>
      </c>
      <c r="P21" s="19">
        <f>RANK(O21,O$21:O$21,0)</f>
        <v>1</v>
      </c>
      <c r="Q21" s="17">
        <f>SUM(G21,J21)</f>
        <v>750</v>
      </c>
      <c r="R21" s="20">
        <f>RANK(Q21,Q$21:Q$21,0)</f>
        <v>1</v>
      </c>
      <c r="S21" s="17"/>
    </row>
    <row r="22" spans="1:20" ht="12.75" customHeight="1"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20" ht="12.75" customHeight="1">
      <c r="B23" s="5"/>
      <c r="C23" s="5"/>
      <c r="D23" s="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0" ht="12.75" customHeight="1">
      <c r="B24" s="5"/>
      <c r="C24" s="5"/>
      <c r="D24" s="5"/>
      <c r="E24" s="5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.75" customHeight="1">
      <c r="B25" s="5"/>
      <c r="C25" s="5"/>
      <c r="D25" s="5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2.75" customHeight="1">
      <c r="B26" s="2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0" ht="12.75" customHeight="1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20" ht="12.75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0" ht="12.75" customHeight="1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0" ht="12.75" customHeight="1">
      <c r="D30" s="29"/>
    </row>
    <row r="31" spans="1:20" ht="12.75" customHeight="1">
      <c r="D31" s="29"/>
    </row>
    <row r="32" spans="1:20" ht="12.75" customHeight="1">
      <c r="D32" s="29"/>
    </row>
    <row r="33" spans="4:4" ht="12.75" customHeight="1">
      <c r="D33" s="29"/>
    </row>
    <row r="34" spans="4:4" ht="12.75" customHeight="1">
      <c r="D34" s="29"/>
    </row>
    <row r="35" spans="4:4" ht="12.75" customHeight="1"/>
    <row r="36" spans="4:4" ht="12.75" customHeight="1"/>
    <row r="37" spans="4:4" ht="12.75" customHeight="1"/>
    <row r="38" spans="4:4" ht="12.75" customHeight="1"/>
    <row r="39" spans="4:4" ht="12.75" customHeight="1"/>
    <row r="40" spans="4:4" ht="12.75" customHeight="1"/>
    <row r="41" spans="4:4" ht="12.75" customHeight="1"/>
    <row r="42" spans="4:4" ht="12.75" customHeight="1"/>
    <row r="43" spans="4:4" ht="12.75" customHeight="1"/>
    <row r="44" spans="4:4" ht="12.75" customHeight="1"/>
    <row r="45" spans="4:4" ht="12.75" customHeight="1"/>
    <row r="46" spans="4:4" ht="12.75" customHeight="1"/>
    <row r="47" spans="4:4" ht="12.75" customHeight="1"/>
    <row r="48" spans="4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</sheetData>
  <sortState xmlns:xlrd2="http://schemas.microsoft.com/office/spreadsheetml/2017/richdata2" ref="B27:C34">
    <sortCondition descending="1" ref="C27:C34"/>
  </sortState>
  <printOptions gridLines="1"/>
  <pageMargins left="0.4" right="0.5" top="1" bottom="1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10BA-2EEB-4065-B27D-152A69D11577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Field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mtzion</dc:creator>
  <cp:lastModifiedBy>Graves, Colin</cp:lastModifiedBy>
  <cp:lastPrinted>2022-10-02T02:24:21Z</cp:lastPrinted>
  <dcterms:created xsi:type="dcterms:W3CDTF">2004-09-20T16:39:18Z</dcterms:created>
  <dcterms:modified xsi:type="dcterms:W3CDTF">2023-09-30T23:29:47Z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